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boegel 1/Documents/VCAA/Planning for 2022-23/"/>
    </mc:Choice>
  </mc:AlternateContent>
  <xr:revisionPtr revIDLastSave="0" documentId="13_ncr:1_{2D8158BB-862C-B649-9956-055709DE7857}" xr6:coauthVersionLast="47" xr6:coauthVersionMax="47" xr10:uidLastSave="{00000000-0000-0000-0000-000000000000}"/>
  <workbookProtection workbookAlgorithmName="SHA-512" workbookHashValue="PwMCjShsKoLUKSOQBy1a48VDipznEVmpBmW3Ll0KDjS4KkCPFpaj3rB1YJcGGnHUnuYUBryP9Ue9dKYBPSP4+Q==" workbookSaltValue="T7ZdzKxriemKGYV7sFedmg==" workbookSpinCount="100000" lockStructure="1"/>
  <bookViews>
    <workbookView xWindow="10480" yWindow="3540" windowWidth="33040" windowHeight="19160" xr2:uid="{DA7A187C-6E9E-7C42-B09E-934E63D62D90}"/>
  </bookViews>
  <sheets>
    <sheet name="Summary" sheetId="1" r:id="rId1"/>
    <sheet name="No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7" i="1" l="1"/>
  <c r="C43" i="1" l="1"/>
  <c r="B70" i="1"/>
  <c r="B74" i="1" s="1"/>
  <c r="B43" i="1"/>
  <c r="B32" i="1"/>
  <c r="C44" i="2"/>
  <c r="C43" i="2"/>
  <c r="B57" i="2"/>
  <c r="B56" i="2"/>
  <c r="B52" i="2"/>
  <c r="B51" i="2"/>
  <c r="B71" i="1" l="1"/>
  <c r="B72" i="1"/>
  <c r="B73" i="1"/>
  <c r="C45" i="2"/>
  <c r="C52" i="2"/>
  <c r="C57" i="2"/>
  <c r="C56" i="2"/>
  <c r="C51" i="2"/>
  <c r="F48" i="1"/>
  <c r="B19" i="2"/>
  <c r="C20" i="2" s="1"/>
  <c r="B11" i="2"/>
  <c r="C12" i="2" s="1"/>
  <c r="C19" i="2" l="1"/>
  <c r="C21" i="2"/>
  <c r="C11" i="2"/>
  <c r="C13" i="2"/>
  <c r="F53" i="1"/>
  <c r="F86" i="1"/>
  <c r="F51" i="1"/>
  <c r="F50" i="1"/>
  <c r="B28" i="1"/>
  <c r="F46" i="1" s="1"/>
  <c r="F67" i="1" l="1"/>
  <c r="F35" i="1"/>
  <c r="F34" i="1"/>
  <c r="F36" i="1"/>
  <c r="F77" i="1" l="1"/>
  <c r="F76" i="1" s="1"/>
  <c r="F68" i="1"/>
  <c r="F42" i="1"/>
  <c r="F41" i="1"/>
  <c r="F55" i="1" l="1"/>
  <c r="F12" i="1" s="1"/>
  <c r="F78" i="1"/>
  <c r="F80" i="1" s="1"/>
  <c r="F83" i="1" s="1"/>
  <c r="F81" i="1" l="1"/>
  <c r="F84" i="1" s="1"/>
  <c r="F87" i="1" s="1"/>
  <c r="F89" i="1" s="1"/>
  <c r="F93" i="1" s="1"/>
  <c r="F97" i="1" s="1"/>
  <c r="F96" i="1" s="1"/>
  <c r="F13" i="1" l="1"/>
  <c r="F14" i="1" s="1"/>
  <c r="F94" i="1"/>
  <c r="F95" i="1"/>
</calcChain>
</file>

<file path=xl/sharedStrings.xml><?xml version="1.0" encoding="utf-8"?>
<sst xmlns="http://schemas.openxmlformats.org/spreadsheetml/2006/main" count="182" uniqueCount="136">
  <si>
    <t>Revenues</t>
  </si>
  <si>
    <t>FTES</t>
  </si>
  <si>
    <t>Supplemental</t>
  </si>
  <si>
    <t>Student Success</t>
  </si>
  <si>
    <t>Sales Tax</t>
  </si>
  <si>
    <t>Parcel Tax</t>
  </si>
  <si>
    <t>Total</t>
  </si>
  <si>
    <t>Expenses</t>
  </si>
  <si>
    <t>FTES, as follows:</t>
  </si>
  <si>
    <t>Credit</t>
  </si>
  <si>
    <t>Noncredit CDCP</t>
  </si>
  <si>
    <t>Noncredit Non-CDCP</t>
  </si>
  <si>
    <t>Sales Tax is</t>
  </si>
  <si>
    <t>annually</t>
  </si>
  <si>
    <t>Parcel Tax is</t>
  </si>
  <si>
    <t>Bottom Line</t>
  </si>
  <si>
    <t>Total Revenues</t>
  </si>
  <si>
    <t>Total Expenses</t>
  </si>
  <si>
    <t>Net</t>
  </si>
  <si>
    <t>Base</t>
  </si>
  <si>
    <t>Total Revenue</t>
  </si>
  <si>
    <t>Expense Assumptions</t>
  </si>
  <si>
    <t>Revenue Assumptions</t>
  </si>
  <si>
    <t>Bottom Line Assumption</t>
  </si>
  <si>
    <t>Productivity</t>
  </si>
  <si>
    <t>Noninstructional</t>
  </si>
  <si>
    <t>Instructional</t>
  </si>
  <si>
    <t>FTES per semester FTEF</t>
  </si>
  <si>
    <t>semester FTEF</t>
  </si>
  <si>
    <t>annual FTEF</t>
  </si>
  <si>
    <t>Per-FTES</t>
  </si>
  <si>
    <t>Annualized</t>
  </si>
  <si>
    <t>Credit FTES</t>
  </si>
  <si>
    <t>College size is</t>
  </si>
  <si>
    <t>Overview</t>
  </si>
  <si>
    <t>The intent of this spreadsheet is to develop a sustainable</t>
  </si>
  <si>
    <t>financial model for the College, based on an overall college size</t>
  </si>
  <si>
    <t>and some assumptions about revenues and expenses.</t>
  </si>
  <si>
    <t>This spreadsheet can be used to show:</t>
  </si>
  <si>
    <t>• the size the College will tend towards under current revenue</t>
  </si>
  <si>
    <t>and expense assumptions</t>
  </si>
  <si>
    <t>• the size the College could be with changes in those assumptions</t>
  </si>
  <si>
    <t>average</t>
  </si>
  <si>
    <t>Faculty Benefits Ratio</t>
  </si>
  <si>
    <t>Total Faculty Salaries</t>
  </si>
  <si>
    <t>DCC compensation</t>
  </si>
  <si>
    <t>Methodology:</t>
  </si>
  <si>
    <t>Total computational revenue is modeled using overall college size</t>
  </si>
  <si>
    <t>and assumptions about:</t>
  </si>
  <si>
    <t>• funding available through the SCFF supplemental and success calculations</t>
  </si>
  <si>
    <t>Additionally, assumptions are made about other major revenue</t>
  </si>
  <si>
    <t>sources (sales tax, parcel tax).</t>
  </si>
  <si>
    <t>This model starts by determining faculty compensation expenses,</t>
  </si>
  <si>
    <t>based on assumptions about:</t>
  </si>
  <si>
    <t>• Ratio of full-time to part-time faculty</t>
  </si>
  <si>
    <t>• Average faculty salaries and benefit expenses</t>
  </si>
  <si>
    <t>From there, total College expenses are extrapolated based on an</t>
  </si>
  <si>
    <t>City College SCFF Ratios</t>
  </si>
  <si>
    <t>Additional funding</t>
  </si>
  <si>
    <t>• Instructional productivity</t>
  </si>
  <si>
    <t>• Ratio of instructional to noninstructional load</t>
  </si>
  <si>
    <t>Notes about Assumptions</t>
  </si>
  <si>
    <t>Noncredit non-CDCP</t>
  </si>
  <si>
    <t>https://www.cccco.edu/-/media/CCCCO-Website/College-Finance-and-Facilities/Apportionments-2021/R1/June-2021/201920-R1-2-Exhibit-C7994101.pdf?la=en&amp;hash=33E6C091DEC7E0B81F57FE78646C3BF85FC3203A</t>
  </si>
  <si>
    <t>FTES and revenue figures are based on the figures from the 2019-20 Recalculation Report</t>
  </si>
  <si>
    <t>(includes incarcerated &amp; special admit credit)</t>
  </si>
  <si>
    <t>Type</t>
  </si>
  <si>
    <t>Percent</t>
  </si>
  <si>
    <t>Notes</t>
  </si>
  <si>
    <t>Apportionment</t>
  </si>
  <si>
    <t>Additional figures used from this report</t>
  </si>
  <si>
    <t>Per-FTES rates from Table 1A:</t>
  </si>
  <si>
    <t>Base Apportionment from Section 1E:</t>
  </si>
  <si>
    <t>The SCFF ratios are based on the figures from Section 1A</t>
  </si>
  <si>
    <t>Split of credit, noncredit CDCP, and noncredit non-CDCP is based on figures from Section 1A, 2019-20 Funded</t>
  </si>
  <si>
    <t>Revenue</t>
  </si>
  <si>
    <t>FTEF</t>
  </si>
  <si>
    <t>Instructional-</t>
  </si>
  <si>
    <t>Noninstructional Ratio</t>
  </si>
  <si>
    <t>Nonresident tuition</t>
  </si>
  <si>
    <t>Nonresident</t>
  </si>
  <si>
    <t>From Argos - Faculty Headcount, FTES, and FTEF information we can get the following:</t>
  </si>
  <si>
    <t>Full-time</t>
  </si>
  <si>
    <t>Part-time</t>
  </si>
  <si>
    <t>per unit</t>
  </si>
  <si>
    <t>Nonresident percentage based on 320 reports</t>
  </si>
  <si>
    <t>Credit FTES/FTEF</t>
  </si>
  <si>
    <t>Noncredit FTES/FTEF</t>
  </si>
  <si>
    <t>Resident</t>
  </si>
  <si>
    <t>Overall</t>
  </si>
  <si>
    <t>(takes into account credit/noncredit ratio assumption)</t>
  </si>
  <si>
    <t>(take into account nonresident assumption)</t>
  </si>
  <si>
    <t>average at 67% load</t>
  </si>
  <si>
    <t>• the ratio of credit and noncredit FTES</t>
  </si>
  <si>
    <t xml:space="preserve"> </t>
  </si>
  <si>
    <t>Noncredit CDCP (Career Dev. &amp; College Placement)</t>
  </si>
  <si>
    <t>of total credit FTES</t>
  </si>
  <si>
    <t>DCC Compensation based on 2021/22 levels</t>
  </si>
  <si>
    <t>annual total for 60 chairs</t>
  </si>
  <si>
    <t>Lecture</t>
  </si>
  <si>
    <t>English Comp.</t>
  </si>
  <si>
    <t>Noncredit</t>
  </si>
  <si>
    <t>Lab I (Science, Allied Health)</t>
  </si>
  <si>
    <t>Lab II (Others)</t>
  </si>
  <si>
    <t>Avg. Class Size at that</t>
  </si>
  <si>
    <t>Additional ongoing funds</t>
  </si>
  <si>
    <t>PT Annual Salary at 67% based on 2020/21 average</t>
  </si>
  <si>
    <t>FT to PT ratio based on Spring 2020 figures:</t>
  </si>
  <si>
    <t>Ratio of instructional to noninstructional workload based on Spring 2020 figures:</t>
  </si>
  <si>
    <t>Faculty benefits ratio based on Budget Office figures</t>
  </si>
  <si>
    <t>Theoretical SCFF Ratio</t>
  </si>
  <si>
    <t>FT-PT faculty workload ratio</t>
  </si>
  <si>
    <t>FT Faculty Annual Salary</t>
  </si>
  <si>
    <t>PT Faculty Annual Salary</t>
  </si>
  <si>
    <t>FT Faculty FTEF</t>
  </si>
  <si>
    <t>PT Faculty FTEF</t>
  </si>
  <si>
    <t>FT Faculty Salaries</t>
  </si>
  <si>
    <t>PT Faculty Salaries</t>
  </si>
  <si>
    <t>Faculty Benefits Cost</t>
  </si>
  <si>
    <t>approx. annual sections</t>
  </si>
  <si>
    <t>FT Annual Salary based on 2020/21 average</t>
  </si>
  <si>
    <t>FTES to FTEF ratio from Research &amp; Planning instructional productivity dashboard, 2019/20 for credit, 2018/19 for noncredit</t>
  </si>
  <si>
    <t>Sales Tax, Parcel Tax, and Additional funding based on figures from 2021/22 tentative budget</t>
  </si>
  <si>
    <t>Apportionment correction</t>
  </si>
  <si>
    <t>Faculty</t>
  </si>
  <si>
    <t>Classified</t>
  </si>
  <si>
    <t>Administrator</t>
  </si>
  <si>
    <t>Shared Costs</t>
  </si>
  <si>
    <t>Expense Ratios of U+Parcel Tax Expenses</t>
  </si>
  <si>
    <t>(SEIU, Local 39, Crafts, Unrep)</t>
  </si>
  <si>
    <t>assumption about the proportion of faculty, classified, administrator, and shared expenses.</t>
  </si>
  <si>
    <t>Totals</t>
  </si>
  <si>
    <t>Faculty Compensation</t>
  </si>
  <si>
    <t>Classified Compensation</t>
  </si>
  <si>
    <t>Administrator Comp.</t>
  </si>
  <si>
    <t>Percentage breakdown of total district expenses by major area based on Budget Office figures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</si>
</sst>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"/>
    <numFmt numFmtId="166" formatCode="0.0%"/>
    <numFmt numFmtId="167" formatCode="_(* #,##0_);_(* \(#,##0\);_(* &quot;-&quot;??_);_(@_)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theme="4" tint="0.499984740745262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4" fillId="0" borderId="2" applyNumberFormat="0" applyFill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3" fontId="0" fillId="0" borderId="0" xfId="0" applyNumberFormat="1"/>
    <xf numFmtId="9" fontId="0" fillId="0" borderId="0" xfId="0" applyNumberFormat="1"/>
    <xf numFmtId="0" fontId="0" fillId="0" borderId="0" xfId="0" applyAlignment="1">
      <alignment horizontal="left" indent="1"/>
    </xf>
    <xf numFmtId="164" fontId="0" fillId="0" borderId="0" xfId="1" applyNumberFormat="1" applyFont="1"/>
    <xf numFmtId="0" fontId="2" fillId="0" borderId="1" xfId="3"/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Alignment="1">
      <alignment horizontal="left" indent="2"/>
    </xf>
    <xf numFmtId="0" fontId="4" fillId="0" borderId="2" xfId="4"/>
    <xf numFmtId="0" fontId="0" fillId="0" borderId="3" xfId="0" applyBorder="1"/>
    <xf numFmtId="9" fontId="0" fillId="0" borderId="3" xfId="2" applyFont="1" applyBorder="1"/>
    <xf numFmtId="0" fontId="3" fillId="0" borderId="3" xfId="0" applyFont="1" applyBorder="1"/>
    <xf numFmtId="4" fontId="0" fillId="0" borderId="3" xfId="0" applyNumberFormat="1" applyBorder="1"/>
    <xf numFmtId="0" fontId="3" fillId="0" borderId="3" xfId="0" applyFont="1" applyFill="1" applyBorder="1"/>
    <xf numFmtId="164" fontId="0" fillId="0" borderId="3" xfId="0" applyNumberFormat="1" applyBorder="1"/>
    <xf numFmtId="164" fontId="0" fillId="0" borderId="3" xfId="1" applyNumberFormat="1" applyFont="1" applyBorder="1"/>
    <xf numFmtId="164" fontId="0" fillId="0" borderId="0" xfId="0" applyNumberFormat="1" applyBorder="1"/>
    <xf numFmtId="0" fontId="3" fillId="0" borderId="3" xfId="0" applyFon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9" fontId="0" fillId="0" borderId="3" xfId="2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4" xfId="3" applyBorder="1"/>
    <xf numFmtId="0" fontId="0" fillId="0" borderId="0" xfId="0" applyBorder="1"/>
    <xf numFmtId="0" fontId="2" fillId="0" borderId="1" xfId="3" applyBorder="1"/>
    <xf numFmtId="0" fontId="0" fillId="0" borderId="0" xfId="0" applyBorder="1" applyAlignment="1">
      <alignment horizontal="left" indent="1"/>
    </xf>
    <xf numFmtId="164" fontId="0" fillId="0" borderId="0" xfId="1" applyNumberFormat="1" applyFont="1" applyBorder="1"/>
    <xf numFmtId="0" fontId="0" fillId="0" borderId="0" xfId="0" applyBorder="1" applyAlignment="1">
      <alignment horizontal="left"/>
    </xf>
    <xf numFmtId="0" fontId="3" fillId="0" borderId="0" xfId="0" applyFont="1" applyBorder="1"/>
    <xf numFmtId="164" fontId="3" fillId="0" borderId="0" xfId="1" applyNumberFormat="1" applyFont="1" applyBorder="1"/>
    <xf numFmtId="1" fontId="0" fillId="0" borderId="0" xfId="0" applyNumberFormat="1" applyBorder="1"/>
    <xf numFmtId="9" fontId="3" fillId="0" borderId="5" xfId="0" applyNumberFormat="1" applyFont="1" applyBorder="1"/>
    <xf numFmtId="0" fontId="3" fillId="0" borderId="5" xfId="0" applyFont="1" applyFill="1" applyBorder="1"/>
    <xf numFmtId="9" fontId="0" fillId="0" borderId="3" xfId="2" applyNumberFormat="1" applyFont="1" applyBorder="1"/>
    <xf numFmtId="0" fontId="3" fillId="0" borderId="5" xfId="0" applyFont="1" applyBorder="1" applyAlignment="1">
      <alignment horizontal="left" indent="1"/>
    </xf>
    <xf numFmtId="167" fontId="0" fillId="0" borderId="0" xfId="5" applyNumberFormat="1" applyFont="1"/>
    <xf numFmtId="0" fontId="0" fillId="0" borderId="0" xfId="0" applyFill="1" applyBorder="1"/>
    <xf numFmtId="9" fontId="0" fillId="0" borderId="0" xfId="0" applyNumberFormat="1" applyBorder="1"/>
    <xf numFmtId="0" fontId="3" fillId="0" borderId="0" xfId="0" applyFont="1" applyFill="1" applyBorder="1"/>
    <xf numFmtId="0" fontId="5" fillId="0" borderId="0" xfId="0" applyFont="1"/>
    <xf numFmtId="0" fontId="0" fillId="0" borderId="0" xfId="0" applyBorder="1" applyAlignment="1">
      <alignment vertical="center"/>
    </xf>
    <xf numFmtId="0" fontId="3" fillId="0" borderId="5" xfId="0" applyFont="1" applyBorder="1"/>
    <xf numFmtId="164" fontId="3" fillId="0" borderId="5" xfId="0" applyNumberFormat="1" applyFont="1" applyBorder="1"/>
    <xf numFmtId="0" fontId="0" fillId="0" borderId="0" xfId="0" applyFill="1" applyBorder="1" applyAlignment="1">
      <alignment horizontal="left" indent="1"/>
    </xf>
    <xf numFmtId="3" fontId="0" fillId="2" borderId="0" xfId="0" applyNumberFormat="1" applyFill="1" applyProtection="1">
      <protection locked="0"/>
    </xf>
    <xf numFmtId="9" fontId="0" fillId="2" borderId="0" xfId="0" applyNumberFormat="1" applyFill="1" applyProtection="1">
      <protection locked="0"/>
    </xf>
    <xf numFmtId="166" fontId="0" fillId="2" borderId="0" xfId="0" applyNumberFormat="1" applyFill="1" applyProtection="1">
      <protection locked="0"/>
    </xf>
    <xf numFmtId="164" fontId="0" fillId="2" borderId="0" xfId="0" applyNumberFormat="1" applyFill="1" applyProtection="1">
      <protection locked="0"/>
    </xf>
    <xf numFmtId="164" fontId="0" fillId="2" borderId="0" xfId="1" applyNumberFormat="1" applyFont="1" applyFill="1" applyProtection="1">
      <protection locked="0"/>
    </xf>
    <xf numFmtId="42" fontId="0" fillId="2" borderId="0" xfId="1" applyNumberFormat="1" applyFont="1" applyFill="1" applyProtection="1">
      <protection locked="0"/>
    </xf>
    <xf numFmtId="0" fontId="0" fillId="2" borderId="0" xfId="0" applyFill="1" applyProtection="1">
      <protection locked="0"/>
    </xf>
    <xf numFmtId="9" fontId="0" fillId="2" borderId="0" xfId="2" applyFont="1" applyFill="1" applyProtection="1">
      <protection locked="0"/>
    </xf>
  </cellXfs>
  <cellStyles count="6">
    <cellStyle name="Comma" xfId="5" builtinId="3"/>
    <cellStyle name="Currency" xfId="1" builtinId="4"/>
    <cellStyle name="Heading 1" xfId="4" builtinId="16"/>
    <cellStyle name="Heading 2" xfId="3" builtinId="17"/>
    <cellStyle name="Normal" xfId="0" builtinId="0"/>
    <cellStyle name="Percent" xfId="2" builtinId="5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9E7BC-EC20-BE46-8630-CD15969698AA}">
  <dimension ref="A1:G97"/>
  <sheetViews>
    <sheetView tabSelected="1" topLeftCell="A76" zoomScale="168" workbookViewId="0">
      <selection activeCell="F83" sqref="F83"/>
    </sheetView>
  </sheetViews>
  <sheetFormatPr baseColWidth="10" defaultRowHeight="16" x14ac:dyDescent="0.2"/>
  <cols>
    <col min="1" max="1" width="24.33203125" customWidth="1"/>
    <col min="2" max="2" width="15" bestFit="1" customWidth="1"/>
    <col min="3" max="3" width="25.5" style="25" customWidth="1"/>
    <col min="4" max="4" width="3.33203125" style="25" customWidth="1"/>
    <col min="5" max="5" width="23" style="25" customWidth="1"/>
    <col min="6" max="6" width="17" style="25" customWidth="1"/>
    <col min="7" max="7" width="13.5" style="25" customWidth="1"/>
    <col min="8" max="9" width="10.83203125" customWidth="1"/>
  </cols>
  <sheetData>
    <row r="1" spans="1:7" ht="18" thickBot="1" x14ac:dyDescent="0.25">
      <c r="A1" s="5" t="s">
        <v>34</v>
      </c>
      <c r="B1" s="5"/>
      <c r="C1" s="24"/>
      <c r="D1" s="24"/>
      <c r="E1" s="24"/>
      <c r="F1" s="24"/>
      <c r="G1" s="24"/>
    </row>
    <row r="2" spans="1:7" ht="17" thickTop="1" x14ac:dyDescent="0.2">
      <c r="A2" t="s">
        <v>35</v>
      </c>
    </row>
    <row r="3" spans="1:7" x14ac:dyDescent="0.2">
      <c r="A3" t="s">
        <v>36</v>
      </c>
    </row>
    <row r="4" spans="1:7" x14ac:dyDescent="0.2">
      <c r="A4" t="s">
        <v>37</v>
      </c>
    </row>
    <row r="6" spans="1:7" x14ac:dyDescent="0.2">
      <c r="A6" t="s">
        <v>38</v>
      </c>
    </row>
    <row r="7" spans="1:7" x14ac:dyDescent="0.2">
      <c r="A7" s="3" t="s">
        <v>39</v>
      </c>
    </row>
    <row r="8" spans="1:7" x14ac:dyDescent="0.2">
      <c r="A8" s="8" t="s">
        <v>40</v>
      </c>
    </row>
    <row r="9" spans="1:7" x14ac:dyDescent="0.2">
      <c r="A9" s="3" t="s">
        <v>41</v>
      </c>
    </row>
    <row r="11" spans="1:7" ht="18" thickBot="1" x14ac:dyDescent="0.25">
      <c r="A11" s="5" t="s">
        <v>23</v>
      </c>
      <c r="B11" s="5"/>
      <c r="C11" s="26"/>
      <c r="D11" s="26"/>
      <c r="E11" s="26" t="s">
        <v>15</v>
      </c>
      <c r="F11" s="26"/>
      <c r="G11" s="26"/>
    </row>
    <row r="12" spans="1:7" ht="17" thickTop="1" x14ac:dyDescent="0.2">
      <c r="A12" t="s">
        <v>33</v>
      </c>
      <c r="B12" s="46">
        <v>15000</v>
      </c>
      <c r="C12" s="25" t="s">
        <v>1</v>
      </c>
      <c r="E12" s="25" t="s">
        <v>16</v>
      </c>
      <c r="F12" s="17">
        <f>F55</f>
        <v>131533388.50793649</v>
      </c>
    </row>
    <row r="13" spans="1:7" x14ac:dyDescent="0.2">
      <c r="E13" s="25" t="s">
        <v>17</v>
      </c>
      <c r="F13" s="17">
        <f>F97</f>
        <v>168775172.6175091</v>
      </c>
    </row>
    <row r="14" spans="1:7" x14ac:dyDescent="0.2">
      <c r="E14" s="25" t="s">
        <v>18</v>
      </c>
      <c r="F14" s="17">
        <f>F12-F13</f>
        <v>-37241784.109572604</v>
      </c>
    </row>
    <row r="19" spans="1:7" ht="18" thickBot="1" x14ac:dyDescent="0.25">
      <c r="A19" s="5" t="s">
        <v>22</v>
      </c>
      <c r="B19" s="5"/>
      <c r="C19" s="26"/>
      <c r="D19" s="26"/>
      <c r="E19" s="26" t="s">
        <v>0</v>
      </c>
      <c r="F19" s="26"/>
      <c r="G19" s="26"/>
    </row>
    <row r="20" spans="1:7" ht="17" thickTop="1" x14ac:dyDescent="0.2">
      <c r="A20" s="7" t="s">
        <v>46</v>
      </c>
    </row>
    <row r="21" spans="1:7" x14ac:dyDescent="0.2">
      <c r="A21" t="s">
        <v>47</v>
      </c>
    </row>
    <row r="22" spans="1:7" x14ac:dyDescent="0.2">
      <c r="A22" t="s">
        <v>48</v>
      </c>
    </row>
    <row r="23" spans="1:7" x14ac:dyDescent="0.2">
      <c r="A23" s="3" t="s">
        <v>93</v>
      </c>
    </row>
    <row r="24" spans="1:7" x14ac:dyDescent="0.2">
      <c r="A24" s="3" t="s">
        <v>49</v>
      </c>
    </row>
    <row r="25" spans="1:7" x14ac:dyDescent="0.2">
      <c r="A25" s="6" t="s">
        <v>50</v>
      </c>
    </row>
    <row r="26" spans="1:7" x14ac:dyDescent="0.2">
      <c r="A26" s="6" t="s">
        <v>51</v>
      </c>
    </row>
    <row r="27" spans="1:7" x14ac:dyDescent="0.2">
      <c r="A27" s="3"/>
    </row>
    <row r="28" spans="1:7" x14ac:dyDescent="0.2">
      <c r="A28" s="7" t="s">
        <v>33</v>
      </c>
      <c r="B28" s="1">
        <f>B12</f>
        <v>15000</v>
      </c>
      <c r="C28" s="25" t="s">
        <v>8</v>
      </c>
      <c r="E28" s="25" t="s">
        <v>19</v>
      </c>
      <c r="F28" s="28">
        <v>14300000</v>
      </c>
    </row>
    <row r="29" spans="1:7" x14ac:dyDescent="0.2">
      <c r="B29" s="47">
        <v>0.76</v>
      </c>
      <c r="C29" s="25" t="s">
        <v>9</v>
      </c>
      <c r="E29" s="27"/>
      <c r="F29" s="28"/>
    </row>
    <row r="30" spans="1:7" x14ac:dyDescent="0.2">
      <c r="B30" s="47">
        <v>0.18</v>
      </c>
      <c r="C30" s="25" t="s">
        <v>95</v>
      </c>
      <c r="D30" s="25" t="s">
        <v>94</v>
      </c>
      <c r="F30" s="28"/>
    </row>
    <row r="31" spans="1:7" x14ac:dyDescent="0.2">
      <c r="B31" s="47">
        <v>0.06</v>
      </c>
      <c r="C31" s="25" t="s">
        <v>11</v>
      </c>
      <c r="F31" s="28"/>
    </row>
    <row r="32" spans="1:7" x14ac:dyDescent="0.2">
      <c r="B32" s="33">
        <f>SUM(B29:B31)</f>
        <v>1</v>
      </c>
      <c r="C32" s="34" t="s">
        <v>6</v>
      </c>
      <c r="F32" s="28"/>
    </row>
    <row r="33" spans="1:6" x14ac:dyDescent="0.2">
      <c r="B33" s="2"/>
      <c r="E33" s="25" t="s">
        <v>1</v>
      </c>
      <c r="F33" s="28"/>
    </row>
    <row r="34" spans="1:6" x14ac:dyDescent="0.2">
      <c r="A34" t="s">
        <v>30</v>
      </c>
      <c r="B34" s="4">
        <v>4040</v>
      </c>
      <c r="C34" s="25" t="s">
        <v>9</v>
      </c>
      <c r="E34" s="27" t="s">
        <v>9</v>
      </c>
      <c r="F34" s="28">
        <f>B28*B29*B34</f>
        <v>46056000</v>
      </c>
    </row>
    <row r="35" spans="1:6" x14ac:dyDescent="0.2">
      <c r="B35" s="4">
        <v>5621.94</v>
      </c>
      <c r="C35" s="25" t="s">
        <v>10</v>
      </c>
      <c r="E35" s="27" t="s">
        <v>10</v>
      </c>
      <c r="F35" s="28">
        <f>B28*B30*B35</f>
        <v>15179237.999999998</v>
      </c>
    </row>
    <row r="36" spans="1:6" x14ac:dyDescent="0.2">
      <c r="B36" s="4">
        <v>3380.63</v>
      </c>
      <c r="C36" s="25" t="s">
        <v>11</v>
      </c>
      <c r="E36" s="27" t="s">
        <v>11</v>
      </c>
      <c r="F36" s="28">
        <f>B28*B31*B36</f>
        <v>3042567</v>
      </c>
    </row>
    <row r="37" spans="1:6" x14ac:dyDescent="0.2">
      <c r="B37" s="2"/>
      <c r="E37" s="27"/>
      <c r="F37" s="28"/>
    </row>
    <row r="38" spans="1:6" x14ac:dyDescent="0.2">
      <c r="B38" s="2"/>
      <c r="F38" s="28"/>
    </row>
    <row r="39" spans="1:6" x14ac:dyDescent="0.2">
      <c r="A39" s="7" t="s">
        <v>57</v>
      </c>
      <c r="B39" s="2"/>
      <c r="C39" s="40" t="s">
        <v>110</v>
      </c>
      <c r="F39" s="28"/>
    </row>
    <row r="40" spans="1:6" x14ac:dyDescent="0.2">
      <c r="A40" s="3" t="s">
        <v>32</v>
      </c>
      <c r="B40" s="47">
        <v>0.72</v>
      </c>
      <c r="C40" s="39">
        <v>0.7</v>
      </c>
      <c r="F40" s="28"/>
    </row>
    <row r="41" spans="1:6" x14ac:dyDescent="0.2">
      <c r="A41" s="3" t="s">
        <v>2</v>
      </c>
      <c r="B41" s="47">
        <v>0.17</v>
      </c>
      <c r="C41" s="39">
        <v>0.2</v>
      </c>
      <c r="E41" s="29" t="s">
        <v>2</v>
      </c>
      <c r="F41" s="28">
        <f>B41/B40*F34</f>
        <v>10874333.333333334</v>
      </c>
    </row>
    <row r="42" spans="1:6" x14ac:dyDescent="0.2">
      <c r="A42" s="3" t="s">
        <v>3</v>
      </c>
      <c r="B42" s="47">
        <v>0.11</v>
      </c>
      <c r="C42" s="39">
        <v>0.1</v>
      </c>
      <c r="E42" s="29" t="s">
        <v>3</v>
      </c>
      <c r="F42" s="28">
        <f>B42/B40*F34</f>
        <v>7036333.333333334</v>
      </c>
    </row>
    <row r="43" spans="1:6" x14ac:dyDescent="0.2">
      <c r="A43" s="36" t="s">
        <v>6</v>
      </c>
      <c r="B43" s="33">
        <f>SUM(B40:B42)</f>
        <v>1</v>
      </c>
      <c r="C43" s="33">
        <f>SUM(C40:C42)</f>
        <v>0.99999999999999989</v>
      </c>
      <c r="F43" s="28"/>
    </row>
    <row r="44" spans="1:6" x14ac:dyDescent="0.2">
      <c r="F44" s="28"/>
    </row>
    <row r="45" spans="1:6" x14ac:dyDescent="0.2">
      <c r="A45" s="6" t="s">
        <v>80</v>
      </c>
      <c r="B45" s="48">
        <v>5.5E-2</v>
      </c>
      <c r="C45" s="25" t="s">
        <v>96</v>
      </c>
    </row>
    <row r="46" spans="1:6" x14ac:dyDescent="0.2">
      <c r="A46" s="6" t="s">
        <v>79</v>
      </c>
      <c r="B46" s="49">
        <v>307</v>
      </c>
      <c r="C46" s="25" t="s">
        <v>84</v>
      </c>
      <c r="E46" s="25" t="s">
        <v>79</v>
      </c>
      <c r="F46" s="28">
        <f>B28*B29*(B45/(1-B45))*B46*29</f>
        <v>5907069.8412698414</v>
      </c>
    </row>
    <row r="47" spans="1:6" x14ac:dyDescent="0.2">
      <c r="F47" s="28"/>
    </row>
    <row r="48" spans="1:6" x14ac:dyDescent="0.2">
      <c r="A48" t="s">
        <v>123</v>
      </c>
      <c r="B48" s="4">
        <v>-1862153</v>
      </c>
      <c r="C48" s="25" t="s">
        <v>13</v>
      </c>
      <c r="E48" t="s">
        <v>123</v>
      </c>
      <c r="F48" s="28">
        <f>B48</f>
        <v>-1862153</v>
      </c>
    </row>
    <row r="49" spans="1:7" x14ac:dyDescent="0.2">
      <c r="B49" s="4"/>
      <c r="F49" s="28"/>
    </row>
    <row r="50" spans="1:7" x14ac:dyDescent="0.2">
      <c r="A50" t="s">
        <v>12</v>
      </c>
      <c r="B50" s="50">
        <v>12000000</v>
      </c>
      <c r="C50" s="25" t="s">
        <v>13</v>
      </c>
      <c r="E50" s="25" t="s">
        <v>4</v>
      </c>
      <c r="F50" s="28">
        <f>B50</f>
        <v>12000000</v>
      </c>
    </row>
    <row r="51" spans="1:7" x14ac:dyDescent="0.2">
      <c r="A51" t="s">
        <v>14</v>
      </c>
      <c r="B51" s="50">
        <v>19000000</v>
      </c>
      <c r="C51" s="25" t="s">
        <v>13</v>
      </c>
      <c r="E51" s="25" t="s">
        <v>5</v>
      </c>
      <c r="F51" s="28">
        <f>B51</f>
        <v>19000000</v>
      </c>
    </row>
    <row r="52" spans="1:7" x14ac:dyDescent="0.2">
      <c r="B52" s="4"/>
      <c r="F52" s="28"/>
    </row>
    <row r="53" spans="1:7" x14ac:dyDescent="0.2">
      <c r="A53" t="s">
        <v>105</v>
      </c>
      <c r="B53" s="51">
        <v>0</v>
      </c>
      <c r="C53" s="25" t="s">
        <v>13</v>
      </c>
      <c r="E53" s="25" t="s">
        <v>58</v>
      </c>
      <c r="F53" s="28">
        <f>B53</f>
        <v>0</v>
      </c>
    </row>
    <row r="54" spans="1:7" x14ac:dyDescent="0.2">
      <c r="A54" s="3"/>
      <c r="B54" s="4"/>
      <c r="F54" s="28"/>
    </row>
    <row r="55" spans="1:7" x14ac:dyDescent="0.2">
      <c r="E55" s="30" t="s">
        <v>20</v>
      </c>
      <c r="F55" s="31">
        <f>SUM(F28:F53)-F37</f>
        <v>131533388.50793649</v>
      </c>
    </row>
    <row r="57" spans="1:7" ht="18" thickBot="1" x14ac:dyDescent="0.25">
      <c r="A57" s="5" t="s">
        <v>21</v>
      </c>
      <c r="B57" s="5"/>
      <c r="C57" s="26"/>
      <c r="D57" s="26"/>
      <c r="E57" s="26" t="s">
        <v>7</v>
      </c>
      <c r="F57" s="26"/>
      <c r="G57" s="26"/>
    </row>
    <row r="58" spans="1:7" ht="17" thickTop="1" x14ac:dyDescent="0.2">
      <c r="A58" t="s">
        <v>52</v>
      </c>
    </row>
    <row r="59" spans="1:7" x14ac:dyDescent="0.2">
      <c r="A59" t="s">
        <v>53</v>
      </c>
    </row>
    <row r="60" spans="1:7" x14ac:dyDescent="0.2">
      <c r="A60" s="3" t="s">
        <v>59</v>
      </c>
    </row>
    <row r="61" spans="1:7" x14ac:dyDescent="0.2">
      <c r="A61" s="3" t="s">
        <v>60</v>
      </c>
    </row>
    <row r="62" spans="1:7" x14ac:dyDescent="0.2">
      <c r="A62" s="3" t="s">
        <v>54</v>
      </c>
    </row>
    <row r="63" spans="1:7" x14ac:dyDescent="0.2">
      <c r="A63" s="3" t="s">
        <v>55</v>
      </c>
    </row>
    <row r="64" spans="1:7" x14ac:dyDescent="0.2">
      <c r="A64" t="s">
        <v>56</v>
      </c>
    </row>
    <row r="65" spans="1:7" x14ac:dyDescent="0.2">
      <c r="A65" t="s">
        <v>130</v>
      </c>
    </row>
    <row r="67" spans="1:7" x14ac:dyDescent="0.2">
      <c r="A67" t="s">
        <v>24</v>
      </c>
      <c r="B67" s="52">
        <v>14</v>
      </c>
      <c r="C67" s="25" t="s">
        <v>27</v>
      </c>
      <c r="E67" s="25" t="s">
        <v>26</v>
      </c>
      <c r="F67" s="37">
        <f>B28/B67</f>
        <v>1071.4285714285713</v>
      </c>
      <c r="G67" s="25" t="s">
        <v>28</v>
      </c>
    </row>
    <row r="68" spans="1:7" x14ac:dyDescent="0.2">
      <c r="F68" s="37">
        <f>F67*4.3</f>
        <v>4607.1428571428569</v>
      </c>
      <c r="G68" t="s">
        <v>119</v>
      </c>
    </row>
    <row r="69" spans="1:7" x14ac:dyDescent="0.2">
      <c r="F69" s="37"/>
      <c r="G69"/>
    </row>
    <row r="70" spans="1:7" x14ac:dyDescent="0.2">
      <c r="A70" t="s">
        <v>104</v>
      </c>
      <c r="B70">
        <f>B67*2</f>
        <v>28</v>
      </c>
      <c r="C70" s="25" t="s">
        <v>99</v>
      </c>
      <c r="F70" s="32"/>
    </row>
    <row r="71" spans="1:7" x14ac:dyDescent="0.2">
      <c r="A71" s="3" t="s">
        <v>24</v>
      </c>
      <c r="B71" s="41">
        <f>B70*1.25</f>
        <v>35</v>
      </c>
      <c r="C71" s="25" t="s">
        <v>100</v>
      </c>
      <c r="F71" s="32"/>
    </row>
    <row r="72" spans="1:7" x14ac:dyDescent="0.2">
      <c r="B72">
        <f>B70*0.85</f>
        <v>23.8</v>
      </c>
      <c r="C72" s="38" t="s">
        <v>102</v>
      </c>
      <c r="F72" s="32"/>
    </row>
    <row r="73" spans="1:7" x14ac:dyDescent="0.2">
      <c r="B73">
        <f>B70*0.75</f>
        <v>21</v>
      </c>
      <c r="C73" s="38" t="s">
        <v>103</v>
      </c>
      <c r="F73" s="32"/>
    </row>
    <row r="74" spans="1:7" x14ac:dyDescent="0.2">
      <c r="B74">
        <f>B70*0.6</f>
        <v>16.8</v>
      </c>
      <c r="C74" s="38" t="s">
        <v>101</v>
      </c>
      <c r="F74" s="32"/>
    </row>
    <row r="75" spans="1:7" x14ac:dyDescent="0.2">
      <c r="F75" s="32"/>
    </row>
    <row r="76" spans="1:7" x14ac:dyDescent="0.2">
      <c r="A76" t="s">
        <v>77</v>
      </c>
      <c r="B76" s="53">
        <v>0.73</v>
      </c>
      <c r="E76" s="25" t="s">
        <v>25</v>
      </c>
      <c r="F76" s="37">
        <f>F77-F67</f>
        <v>396.28180039138942</v>
      </c>
      <c r="G76" s="25" t="s">
        <v>28</v>
      </c>
    </row>
    <row r="77" spans="1:7" x14ac:dyDescent="0.2">
      <c r="A77" s="3" t="s">
        <v>78</v>
      </c>
      <c r="C77" s="27"/>
      <c r="E77" s="25" t="s">
        <v>6</v>
      </c>
      <c r="F77" s="37">
        <f>F67/B76</f>
        <v>1467.7103718199608</v>
      </c>
      <c r="G77" s="25" t="s">
        <v>28</v>
      </c>
    </row>
    <row r="78" spans="1:7" x14ac:dyDescent="0.2">
      <c r="E78" s="25" t="s">
        <v>31</v>
      </c>
      <c r="F78" s="37">
        <f>F77/2</f>
        <v>733.85518590998038</v>
      </c>
      <c r="G78" s="25" t="s">
        <v>29</v>
      </c>
    </row>
    <row r="80" spans="1:7" x14ac:dyDescent="0.2">
      <c r="A80" t="s">
        <v>111</v>
      </c>
      <c r="B80" s="47">
        <v>0.64</v>
      </c>
      <c r="E80" s="25" t="s">
        <v>114</v>
      </c>
      <c r="F80" s="37">
        <f>F78*B80</f>
        <v>469.66731898238743</v>
      </c>
      <c r="G80" s="25" t="s">
        <v>29</v>
      </c>
    </row>
    <row r="81" spans="1:7" x14ac:dyDescent="0.2">
      <c r="B81" s="2"/>
      <c r="E81" s="25" t="s">
        <v>115</v>
      </c>
      <c r="F81" s="37">
        <f>F78-F80</f>
        <v>264.18786692759295</v>
      </c>
      <c r="G81" s="25" t="s">
        <v>29</v>
      </c>
    </row>
    <row r="83" spans="1:7" x14ac:dyDescent="0.2">
      <c r="A83" t="s">
        <v>112</v>
      </c>
      <c r="B83" s="50">
        <v>100000</v>
      </c>
      <c r="C83" s="25" t="s">
        <v>42</v>
      </c>
      <c r="E83" s="25" t="s">
        <v>116</v>
      </c>
      <c r="F83" s="17">
        <f>F80*B83</f>
        <v>46966731.898238741</v>
      </c>
    </row>
    <row r="84" spans="1:7" x14ac:dyDescent="0.2">
      <c r="A84" t="s">
        <v>113</v>
      </c>
      <c r="B84" s="50">
        <v>46900</v>
      </c>
      <c r="C84" s="25" t="s">
        <v>92</v>
      </c>
      <c r="E84" s="25" t="s">
        <v>117</v>
      </c>
      <c r="F84" s="17">
        <f>F81*B84/0.67</f>
        <v>18493150.684931505</v>
      </c>
    </row>
    <row r="85" spans="1:7" x14ac:dyDescent="0.2">
      <c r="B85" s="4"/>
      <c r="F85" s="17"/>
    </row>
    <row r="86" spans="1:7" x14ac:dyDescent="0.2">
      <c r="A86" t="s">
        <v>45</v>
      </c>
      <c r="B86" s="50">
        <v>800000</v>
      </c>
      <c r="C86" s="25" t="s">
        <v>98</v>
      </c>
      <c r="E86" s="25" t="s">
        <v>45</v>
      </c>
      <c r="F86" s="17">
        <f>B86</f>
        <v>800000</v>
      </c>
    </row>
    <row r="87" spans="1:7" x14ac:dyDescent="0.2">
      <c r="E87" s="25" t="s">
        <v>44</v>
      </c>
      <c r="F87" s="17">
        <f>SUM(F83:F86)</f>
        <v>66259882.58317025</v>
      </c>
    </row>
    <row r="89" spans="1:7" x14ac:dyDescent="0.2">
      <c r="A89" t="s">
        <v>43</v>
      </c>
      <c r="B89" s="47">
        <v>0.35</v>
      </c>
      <c r="E89" s="25" t="s">
        <v>118</v>
      </c>
      <c r="F89" s="17">
        <f>F87*B89</f>
        <v>23190958.904109586</v>
      </c>
    </row>
    <row r="92" spans="1:7" x14ac:dyDescent="0.2">
      <c r="A92" s="7" t="s">
        <v>128</v>
      </c>
      <c r="C92" s="42"/>
      <c r="E92" s="30" t="s">
        <v>131</v>
      </c>
      <c r="F92" s="30"/>
    </row>
    <row r="93" spans="1:7" x14ac:dyDescent="0.2">
      <c r="A93" s="3" t="s">
        <v>124</v>
      </c>
      <c r="B93" s="47">
        <v>0.53</v>
      </c>
      <c r="C93" s="42"/>
      <c r="E93" s="27" t="s">
        <v>132</v>
      </c>
      <c r="F93" s="17">
        <f>F87+F89</f>
        <v>89450841.487279832</v>
      </c>
    </row>
    <row r="94" spans="1:7" x14ac:dyDescent="0.2">
      <c r="A94" s="3" t="s">
        <v>125</v>
      </c>
      <c r="B94" s="47">
        <v>0.31</v>
      </c>
      <c r="C94" s="42" t="s">
        <v>129</v>
      </c>
      <c r="E94" s="27" t="s">
        <v>133</v>
      </c>
      <c r="F94" s="17">
        <f>B94*F97</f>
        <v>52320303.51142782</v>
      </c>
    </row>
    <row r="95" spans="1:7" x14ac:dyDescent="0.2">
      <c r="A95" s="3" t="s">
        <v>126</v>
      </c>
      <c r="B95" s="47">
        <v>0.05</v>
      </c>
      <c r="E95" s="27" t="s">
        <v>134</v>
      </c>
      <c r="F95" s="17">
        <f>B95*F97</f>
        <v>8438758.6308754552</v>
      </c>
    </row>
    <row r="96" spans="1:7" x14ac:dyDescent="0.2">
      <c r="A96" s="3" t="s">
        <v>127</v>
      </c>
      <c r="B96" s="47">
        <v>0.11</v>
      </c>
      <c r="E96" s="45" t="s">
        <v>127</v>
      </c>
      <c r="F96" s="17">
        <f>B96*F97</f>
        <v>18565268.987926003</v>
      </c>
    </row>
    <row r="97" spans="1:6" x14ac:dyDescent="0.2">
      <c r="A97" s="43" t="s">
        <v>6</v>
      </c>
      <c r="B97" s="33">
        <f>SUM(B93:B96)</f>
        <v>1.0000000000000002</v>
      </c>
      <c r="E97" s="43" t="s">
        <v>17</v>
      </c>
      <c r="F97" s="44">
        <f>F93/B93</f>
        <v>168775172.6175091</v>
      </c>
    </row>
  </sheetData>
  <sheetProtection algorithmName="SHA-512" hashValue="P/5g60fKxBHEFO+ZRM1JsPd2AU+TVpfqYaqstAlLgVTSanpf7lnSEcytXchowXrLOwqA73vpCCQ+c6106FxeSQ==" saltValue="DoyGQEu/3gaji0tt7uh6MQ==" spinCount="100000" sheet="1" objects="1" scenarios="1"/>
  <conditionalFormatting sqref="B71">
    <cfRule type="cellIs" dxfId="1" priority="2" operator="greaterThan">
      <formula>31</formula>
    </cfRule>
  </conditionalFormatting>
  <conditionalFormatting sqref="B72">
    <cfRule type="cellIs" dxfId="0" priority="1" operator="greaterThan">
      <formula>28</formula>
    </cfRule>
  </conditionalFormatting>
  <pageMargins left="0.7" right="0.7" top="0.75" bottom="0.75" header="0.3" footer="0.3"/>
  <pageSetup orientation="portrait" horizontalDpi="0" verticalDpi="0"/>
  <headerFooter>
    <oddFooter>&amp;L&amp;"Calibri,Regular"&amp;K000000DRAFT&amp;C&amp;"Calibri,Regular"&amp;K000000DRAFT&amp;R&amp;"Calibri,Regular"&amp;K000000DRAFT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956BD-0954-A44C-8FAA-85ACB10B9CC5}">
  <dimension ref="A1:G67"/>
  <sheetViews>
    <sheetView topLeftCell="A28" zoomScale="194" workbookViewId="0">
      <selection activeCell="A6" sqref="A6"/>
    </sheetView>
  </sheetViews>
  <sheetFormatPr baseColWidth="10" defaultRowHeight="16" x14ac:dyDescent="0.2"/>
  <cols>
    <col min="1" max="1" width="20.5" customWidth="1"/>
    <col min="2" max="2" width="13.5" customWidth="1"/>
    <col min="4" max="4" width="38" customWidth="1"/>
  </cols>
  <sheetData>
    <row r="1" spans="1:7" ht="21" thickBot="1" x14ac:dyDescent="0.3">
      <c r="A1" s="9" t="s">
        <v>61</v>
      </c>
      <c r="B1" s="9"/>
      <c r="C1" s="9"/>
      <c r="D1" s="9"/>
      <c r="E1" s="9"/>
      <c r="F1" s="9"/>
      <c r="G1" s="9"/>
    </row>
    <row r="2" spans="1:7" ht="17" thickTop="1" x14ac:dyDescent="0.2"/>
    <row r="3" spans="1:7" ht="18" thickBot="1" x14ac:dyDescent="0.25">
      <c r="A3" s="5" t="s">
        <v>75</v>
      </c>
      <c r="B3" s="5"/>
      <c r="C3" s="5"/>
      <c r="D3" s="5"/>
      <c r="E3" s="5"/>
      <c r="F3" s="5"/>
    </row>
    <row r="4" spans="1:7" ht="17" thickTop="1" x14ac:dyDescent="0.2"/>
    <row r="5" spans="1:7" x14ac:dyDescent="0.2">
      <c r="A5" t="s">
        <v>64</v>
      </c>
    </row>
    <row r="6" spans="1:7" x14ac:dyDescent="0.2">
      <c r="A6" t="s">
        <v>63</v>
      </c>
    </row>
    <row r="8" spans="1:7" x14ac:dyDescent="0.2">
      <c r="A8" t="s">
        <v>74</v>
      </c>
    </row>
    <row r="10" spans="1:7" x14ac:dyDescent="0.2">
      <c r="A10" s="12" t="s">
        <v>66</v>
      </c>
      <c r="B10" s="12" t="s">
        <v>1</v>
      </c>
      <c r="C10" s="12" t="s">
        <v>67</v>
      </c>
      <c r="D10" s="14" t="s">
        <v>68</v>
      </c>
    </row>
    <row r="11" spans="1:7" x14ac:dyDescent="0.2">
      <c r="A11" s="10" t="s">
        <v>9</v>
      </c>
      <c r="B11" s="13">
        <f>15507.92+7.13+217.84</f>
        <v>15732.89</v>
      </c>
      <c r="C11" s="11">
        <f>B11/SUM($B$11:$B$13)</f>
        <v>0.76262745487727734</v>
      </c>
      <c r="D11" s="10" t="s">
        <v>65</v>
      </c>
    </row>
    <row r="12" spans="1:7" x14ac:dyDescent="0.2">
      <c r="A12" s="10" t="s">
        <v>10</v>
      </c>
      <c r="B12" s="13">
        <v>3748.44</v>
      </c>
      <c r="C12" s="11">
        <f>B12/SUM($B$11:$B$13)</f>
        <v>0.18169981846693023</v>
      </c>
      <c r="D12" s="10"/>
    </row>
    <row r="13" spans="1:7" x14ac:dyDescent="0.2">
      <c r="A13" s="10" t="s">
        <v>62</v>
      </c>
      <c r="B13" s="13">
        <v>1148.52</v>
      </c>
      <c r="C13" s="11">
        <f>B13/SUM($B$11:$B$13)</f>
        <v>5.5672726655792461E-2</v>
      </c>
      <c r="D13" s="10"/>
    </row>
    <row r="16" spans="1:7" x14ac:dyDescent="0.2">
      <c r="A16" t="s">
        <v>73</v>
      </c>
    </row>
    <row r="18" spans="1:4" x14ac:dyDescent="0.2">
      <c r="A18" s="12" t="s">
        <v>66</v>
      </c>
      <c r="B18" s="12" t="s">
        <v>69</v>
      </c>
      <c r="C18" s="12" t="s">
        <v>67</v>
      </c>
      <c r="D18" s="14" t="s">
        <v>68</v>
      </c>
    </row>
    <row r="19" spans="1:4" x14ac:dyDescent="0.2">
      <c r="A19" s="10" t="s">
        <v>9</v>
      </c>
      <c r="B19" s="15">
        <f>62651997+40365+1233261</f>
        <v>63925623</v>
      </c>
      <c r="C19" s="35">
        <f>B19/SUM($B$19:$B$21)</f>
        <v>0.71481105036012538</v>
      </c>
      <c r="D19" s="10" t="s">
        <v>65</v>
      </c>
    </row>
    <row r="20" spans="1:4" x14ac:dyDescent="0.2">
      <c r="A20" s="10" t="s">
        <v>2</v>
      </c>
      <c r="B20" s="15">
        <v>15588912</v>
      </c>
      <c r="C20" s="35">
        <f>B20/SUM($B$19:$B$21)</f>
        <v>0.17431392981014143</v>
      </c>
      <c r="D20" s="10"/>
    </row>
    <row r="21" spans="1:4" x14ac:dyDescent="0.2">
      <c r="A21" s="10" t="s">
        <v>3</v>
      </c>
      <c r="B21" s="15">
        <v>9915564</v>
      </c>
      <c r="C21" s="35">
        <f>B21/SUM($B$19:$B$21)</f>
        <v>0.11087501982973316</v>
      </c>
      <c r="D21" s="10"/>
    </row>
    <row r="23" spans="1:4" x14ac:dyDescent="0.2">
      <c r="A23" t="s">
        <v>70</v>
      </c>
    </row>
    <row r="25" spans="1:4" x14ac:dyDescent="0.2">
      <c r="A25" s="7" t="s">
        <v>71</v>
      </c>
    </row>
    <row r="26" spans="1:4" x14ac:dyDescent="0.2">
      <c r="A26" s="10" t="s">
        <v>9</v>
      </c>
      <c r="B26" s="16">
        <v>4040</v>
      </c>
    </row>
    <row r="27" spans="1:4" x14ac:dyDescent="0.2">
      <c r="A27" s="10" t="s">
        <v>10</v>
      </c>
      <c r="B27" s="16">
        <v>5621.94</v>
      </c>
    </row>
    <row r="28" spans="1:4" x14ac:dyDescent="0.2">
      <c r="A28" s="10" t="s">
        <v>62</v>
      </c>
      <c r="B28" s="16">
        <v>3380.63</v>
      </c>
    </row>
    <row r="30" spans="1:4" x14ac:dyDescent="0.2">
      <c r="A30" s="7" t="s">
        <v>72</v>
      </c>
    </row>
    <row r="31" spans="1:4" x14ac:dyDescent="0.2">
      <c r="B31" s="17">
        <v>14327827</v>
      </c>
    </row>
    <row r="33" spans="1:6" x14ac:dyDescent="0.2">
      <c r="A33" t="s">
        <v>85</v>
      </c>
    </row>
    <row r="35" spans="1:6" x14ac:dyDescent="0.2">
      <c r="A35" t="s">
        <v>122</v>
      </c>
    </row>
    <row r="38" spans="1:6" ht="18" thickBot="1" x14ac:dyDescent="0.25">
      <c r="A38" s="5" t="s">
        <v>21</v>
      </c>
      <c r="B38" s="5"/>
      <c r="C38" s="5"/>
      <c r="D38" s="5"/>
      <c r="E38" s="5"/>
      <c r="F38" s="5"/>
    </row>
    <row r="39" spans="1:6" ht="17" thickTop="1" x14ac:dyDescent="0.2"/>
    <row r="40" spans="1:6" x14ac:dyDescent="0.2">
      <c r="A40" t="s">
        <v>121</v>
      </c>
    </row>
    <row r="42" spans="1:6" x14ac:dyDescent="0.2">
      <c r="A42" s="10"/>
      <c r="B42" s="18" t="s">
        <v>6</v>
      </c>
      <c r="C42" s="18" t="s">
        <v>88</v>
      </c>
      <c r="D42" s="22" t="s">
        <v>68</v>
      </c>
    </row>
    <row r="43" spans="1:6" x14ac:dyDescent="0.2">
      <c r="A43" s="12" t="s">
        <v>86</v>
      </c>
      <c r="B43" s="19">
        <v>14.09</v>
      </c>
      <c r="C43" s="19">
        <f>B43*(1-Summary!B45)</f>
        <v>13.315049999999999</v>
      </c>
      <c r="D43" s="23" t="s">
        <v>91</v>
      </c>
    </row>
    <row r="44" spans="1:6" x14ac:dyDescent="0.2">
      <c r="A44" s="12" t="s">
        <v>87</v>
      </c>
      <c r="B44" s="19">
        <v>16.149999999999999</v>
      </c>
      <c r="C44" s="19">
        <f>B44</f>
        <v>16.149999999999999</v>
      </c>
      <c r="D44" s="23"/>
    </row>
    <row r="45" spans="1:6" x14ac:dyDescent="0.2">
      <c r="A45" s="12" t="s">
        <v>89</v>
      </c>
      <c r="B45" s="21"/>
      <c r="C45" s="19">
        <f>C43*Summary!B29+Notes!C44*(1-Summary!B29)</f>
        <v>13.995437999999998</v>
      </c>
      <c r="D45" s="23" t="s">
        <v>90</v>
      </c>
    </row>
    <row r="47" spans="1:6" x14ac:dyDescent="0.2">
      <c r="A47" t="s">
        <v>81</v>
      </c>
    </row>
    <row r="49" spans="1:3" x14ac:dyDescent="0.2">
      <c r="A49" t="s">
        <v>108</v>
      </c>
    </row>
    <row r="50" spans="1:3" x14ac:dyDescent="0.2">
      <c r="A50" s="10"/>
      <c r="B50" s="18" t="s">
        <v>76</v>
      </c>
      <c r="C50" s="18" t="s">
        <v>67</v>
      </c>
    </row>
    <row r="51" spans="1:3" x14ac:dyDescent="0.2">
      <c r="A51" s="12" t="s">
        <v>26</v>
      </c>
      <c r="B51" s="19">
        <f>493.77+118.13</f>
        <v>611.9</v>
      </c>
      <c r="C51" s="20">
        <f>B51/SUM($B$51:$B$52)</f>
        <v>0.72965109346307022</v>
      </c>
    </row>
    <row r="52" spans="1:3" x14ac:dyDescent="0.2">
      <c r="A52" s="12" t="s">
        <v>25</v>
      </c>
      <c r="B52" s="19">
        <f>226.122+0.598</f>
        <v>226.72000000000003</v>
      </c>
      <c r="C52" s="20">
        <f>B52/SUM($B$51:$B$52)</f>
        <v>0.27034890653692972</v>
      </c>
    </row>
    <row r="54" spans="1:3" x14ac:dyDescent="0.2">
      <c r="A54" t="s">
        <v>107</v>
      </c>
    </row>
    <row r="55" spans="1:3" x14ac:dyDescent="0.2">
      <c r="A55" s="10"/>
      <c r="B55" s="18" t="s">
        <v>76</v>
      </c>
      <c r="C55" s="18" t="s">
        <v>67</v>
      </c>
    </row>
    <row r="56" spans="1:3" x14ac:dyDescent="0.2">
      <c r="A56" s="12" t="s">
        <v>82</v>
      </c>
      <c r="B56" s="19">
        <f>307.35+0.13+164.843+1.867+59.73+0.598</f>
        <v>534.51799999999992</v>
      </c>
      <c r="C56" s="20">
        <f>B56/SUM($B$56:$B$57)</f>
        <v>0.64271989418625619</v>
      </c>
    </row>
    <row r="57" spans="1:3" x14ac:dyDescent="0.2">
      <c r="A57" s="12" t="s">
        <v>83</v>
      </c>
      <c r="B57" s="19">
        <f>164.04+2.15+19.49+45.719+3.257+10.436+51.54+0.5</f>
        <v>297.13200000000001</v>
      </c>
      <c r="C57" s="20">
        <f>B57/SUM($B$56:$B$57)</f>
        <v>0.35728010581374381</v>
      </c>
    </row>
    <row r="59" spans="1:3" x14ac:dyDescent="0.2">
      <c r="A59" t="s">
        <v>120</v>
      </c>
    </row>
    <row r="61" spans="1:3" x14ac:dyDescent="0.2">
      <c r="A61" t="s">
        <v>106</v>
      </c>
    </row>
    <row r="63" spans="1:3" x14ac:dyDescent="0.2">
      <c r="A63" t="s">
        <v>97</v>
      </c>
    </row>
    <row r="65" spans="1:1" x14ac:dyDescent="0.2">
      <c r="A65" t="s">
        <v>109</v>
      </c>
    </row>
    <row r="67" spans="1:1" x14ac:dyDescent="0.2">
      <c r="A67" t="s">
        <v>135</v>
      </c>
    </row>
  </sheetData>
  <sheetProtection algorithmName="SHA-512" hashValue="c6T6iXPXRmPcexmnMT4IMuM1JsRCK3utk3J7ozOw+VedCJVQkQKYgjEu3ENlIn6lusUhPJ5+8TOvTgTkqjJ6lg==" saltValue="q0OPhKOwze8rpN5EasSM0g==" spinCount="100000" sheet="1" objects="1" scenarios="1"/>
  <pageMargins left="0.7" right="0.7" top="0.75" bottom="0.75" header="0.3" footer="0.3"/>
  <pageSetup orientation="portrait" horizontalDpi="0" verticalDpi="0"/>
  <headerFooter>
    <oddFooter>&amp;L&amp;"Calibri,Regular"&amp;K000000DRAFT&amp;C&amp;"Calibri,Regular"&amp;K000000DRAFT&amp;R&amp;"Calibri,Regular"&amp;K000000DRAFT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Notes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 Boegel</dc:creator>
  <cp:keywords/>
  <dc:description>BOARD</dc:description>
  <cp:lastModifiedBy>Tom Boegel</cp:lastModifiedBy>
  <dcterms:created xsi:type="dcterms:W3CDTF">2021-07-19T22:50:13Z</dcterms:created>
  <dcterms:modified xsi:type="dcterms:W3CDTF">2021-09-01T16:53:00Z</dcterms:modified>
  <cp:category/>
</cp:coreProperties>
</file>